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Strand Gartneri AS\Klimaanalyse_Salat\_Foredrag for publisering\"/>
    </mc:Choice>
  </mc:AlternateContent>
  <xr:revisionPtr revIDLastSave="0" documentId="8_{96E9BCA0-EDD2-4599-8C89-30CC055F5490}" xr6:coauthVersionLast="47" xr6:coauthVersionMax="47" xr10:uidLastSave="{00000000-0000-0000-0000-000000000000}"/>
  <bookViews>
    <workbookView xWindow="-120" yWindow="-120" windowWidth="29040" windowHeight="15960" xr2:uid="{93424D1B-2894-4955-BE03-3F5BADC3B278}"/>
  </bookViews>
  <sheets>
    <sheet name="Energi" sheetId="1" r:id="rId1"/>
    <sheet name="Svinn" sheetId="2" r:id="rId2"/>
    <sheet name="min rør" sheetId="3" r:id="rId3"/>
    <sheet name="Ark4" sheetId="4" r:id="rId4"/>
  </sheets>
  <definedNames>
    <definedName name="Investering">Energi!$D$17</definedName>
    <definedName name="Realrente">Energi!$D$15</definedName>
    <definedName name="Årlig_inntjening">Energi!$C$9</definedName>
    <definedName name="Årlig_inntjening_svinn" localSheetId="2">'min rør'!$C$6</definedName>
    <definedName name="Årlig_inntjening_svinn">Svinn!$C$5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C3" i="3"/>
  <c r="C6" i="3" s="1"/>
  <c r="C21" i="3"/>
  <c r="C20" i="3"/>
  <c r="C19" i="3"/>
  <c r="D18" i="3"/>
  <c r="C18" i="3"/>
  <c r="D17" i="3"/>
  <c r="C17" i="3"/>
  <c r="C16" i="3"/>
  <c r="D15" i="3"/>
  <c r="C15" i="3"/>
  <c r="D20" i="3" l="1"/>
  <c r="E20" i="3" s="1"/>
  <c r="F20" i="3" s="1"/>
  <c r="G20" i="3" l="1"/>
  <c r="H20" i="3" l="1"/>
  <c r="I20" i="3" l="1"/>
  <c r="J20" i="3" l="1"/>
  <c r="K20" i="3" l="1"/>
  <c r="L20" i="3" l="1"/>
  <c r="C5" i="2" l="1"/>
  <c r="D19" i="2" s="1"/>
  <c r="C20" i="2"/>
  <c r="D14" i="2"/>
  <c r="E14" i="2"/>
  <c r="F14" i="2"/>
  <c r="G14" i="2"/>
  <c r="H14" i="2"/>
  <c r="I14" i="2"/>
  <c r="J14" i="2"/>
  <c r="K14" i="2"/>
  <c r="L14" i="2"/>
  <c r="D16" i="2"/>
  <c r="D17" i="2"/>
  <c r="C15" i="2"/>
  <c r="C16" i="2"/>
  <c r="C17" i="2"/>
  <c r="C18" i="2"/>
  <c r="C19" i="2"/>
  <c r="C14" i="2"/>
  <c r="D15" i="1"/>
  <c r="D15" i="2" s="1"/>
  <c r="D16" i="3" l="1"/>
  <c r="C8" i="3"/>
  <c r="C7" i="2"/>
  <c r="E19" i="2"/>
  <c r="K5" i="1"/>
  <c r="K6" i="1"/>
  <c r="K7" i="1"/>
  <c r="K4" i="1"/>
  <c r="F19" i="2" l="1"/>
  <c r="G19" i="2" l="1"/>
  <c r="H19" i="2" l="1"/>
  <c r="F4" i="1"/>
  <c r="C4" i="1" s="1"/>
  <c r="D28" i="1"/>
  <c r="D18" i="1"/>
  <c r="E17" i="1"/>
  <c r="E15" i="1"/>
  <c r="E16" i="1"/>
  <c r="F15" i="1" l="1"/>
  <c r="E16" i="3"/>
  <c r="E15" i="2"/>
  <c r="E17" i="3"/>
  <c r="E16" i="2"/>
  <c r="F17" i="1"/>
  <c r="E18" i="3"/>
  <c r="E17" i="2"/>
  <c r="D19" i="3"/>
  <c r="D21" i="3" s="1"/>
  <c r="D18" i="2"/>
  <c r="D20" i="2" s="1"/>
  <c r="I19" i="2"/>
  <c r="E18" i="1"/>
  <c r="C6" i="1"/>
  <c r="F16" i="1"/>
  <c r="G16" i="1" l="1"/>
  <c r="F17" i="3"/>
  <c r="F16" i="2"/>
  <c r="G17" i="1"/>
  <c r="F18" i="3"/>
  <c r="F17" i="2"/>
  <c r="E19" i="3"/>
  <c r="E21" i="3" s="1"/>
  <c r="E18" i="2"/>
  <c r="E20" i="2" s="1"/>
  <c r="G15" i="1"/>
  <c r="F16" i="3"/>
  <c r="F15" i="2"/>
  <c r="J19" i="2"/>
  <c r="D6" i="1"/>
  <c r="C7" i="1"/>
  <c r="C9" i="1"/>
  <c r="F18" i="1"/>
  <c r="H17" i="1" l="1"/>
  <c r="G18" i="3"/>
  <c r="G17" i="2"/>
  <c r="F19" i="3"/>
  <c r="F21" i="3" s="1"/>
  <c r="F18" i="2"/>
  <c r="F20" i="2" s="1"/>
  <c r="G18" i="1"/>
  <c r="H15" i="1"/>
  <c r="G16" i="3"/>
  <c r="G15" i="2"/>
  <c r="H16" i="1"/>
  <c r="G17" i="3"/>
  <c r="G16" i="2"/>
  <c r="K19" i="2"/>
  <c r="C10" i="1"/>
  <c r="D19" i="1" s="1"/>
  <c r="E19" i="1" s="1"/>
  <c r="C11" i="1"/>
  <c r="G19" i="3" l="1"/>
  <c r="G21" i="3" s="1"/>
  <c r="G18" i="2"/>
  <c r="G20" i="2" s="1"/>
  <c r="H16" i="3"/>
  <c r="H15" i="2"/>
  <c r="I15" i="1"/>
  <c r="H18" i="1"/>
  <c r="I16" i="1"/>
  <c r="H17" i="3"/>
  <c r="H16" i="2"/>
  <c r="I17" i="1"/>
  <c r="H18" i="3"/>
  <c r="H17" i="2"/>
  <c r="L19" i="2"/>
  <c r="D20" i="1"/>
  <c r="F19" i="1"/>
  <c r="E20" i="1"/>
  <c r="H19" i="3" l="1"/>
  <c r="H21" i="3" s="1"/>
  <c r="H18" i="2"/>
  <c r="H20" i="2" s="1"/>
  <c r="I16" i="3"/>
  <c r="I15" i="2"/>
  <c r="J15" i="1"/>
  <c r="I18" i="1"/>
  <c r="J16" i="1"/>
  <c r="I17" i="3"/>
  <c r="I16" i="2"/>
  <c r="J17" i="1"/>
  <c r="I18" i="3"/>
  <c r="I17" i="2"/>
  <c r="G19" i="1"/>
  <c r="F20" i="1"/>
  <c r="K16" i="1" l="1"/>
  <c r="J17" i="3"/>
  <c r="J16" i="2"/>
  <c r="J18" i="1"/>
  <c r="J16" i="3"/>
  <c r="J15" i="2"/>
  <c r="K15" i="1"/>
  <c r="I19" i="3"/>
  <c r="I21" i="3" s="1"/>
  <c r="I18" i="2"/>
  <c r="I20" i="2" s="1"/>
  <c r="K17" i="1"/>
  <c r="J18" i="3"/>
  <c r="J17" i="2"/>
  <c r="H19" i="1"/>
  <c r="G20" i="1"/>
  <c r="K18" i="1" l="1"/>
  <c r="K16" i="3"/>
  <c r="K15" i="2"/>
  <c r="L15" i="1"/>
  <c r="J19" i="3"/>
  <c r="J21" i="3" s="1"/>
  <c r="J18" i="2"/>
  <c r="J20" i="2" s="1"/>
  <c r="L17" i="1"/>
  <c r="K18" i="3"/>
  <c r="K17" i="2"/>
  <c r="L16" i="1"/>
  <c r="K17" i="3"/>
  <c r="K16" i="2"/>
  <c r="I19" i="1"/>
  <c r="H20" i="1"/>
  <c r="L18" i="3" l="1"/>
  <c r="L17" i="2"/>
  <c r="L18" i="1"/>
  <c r="L16" i="3"/>
  <c r="L15" i="2"/>
  <c r="L17" i="3"/>
  <c r="L16" i="2"/>
  <c r="K19" i="3"/>
  <c r="K21" i="3" s="1"/>
  <c r="K18" i="2"/>
  <c r="K20" i="2" s="1"/>
  <c r="J19" i="1"/>
  <c r="I20" i="1"/>
  <c r="L19" i="3" l="1"/>
  <c r="L21" i="3" s="1"/>
  <c r="L18" i="2"/>
  <c r="L20" i="2" s="1"/>
  <c r="K19" i="1"/>
  <c r="J20" i="1"/>
  <c r="L19" i="1" l="1"/>
  <c r="L20" i="1" s="1"/>
  <c r="K20" i="1"/>
</calcChain>
</file>

<file path=xl/sharedStrings.xml><?xml version="1.0" encoding="utf-8"?>
<sst xmlns="http://schemas.openxmlformats.org/spreadsheetml/2006/main" count="43" uniqueCount="40">
  <si>
    <t>Areal</t>
  </si>
  <si>
    <t>m²</t>
  </si>
  <si>
    <t>liter pr time</t>
  </si>
  <si>
    <t>timer pr døgn</t>
  </si>
  <si>
    <t>Uttak vann</t>
  </si>
  <si>
    <t>liter pr år</t>
  </si>
  <si>
    <t>Propan</t>
  </si>
  <si>
    <t>Spart pr liter vann</t>
  </si>
  <si>
    <t>kWh / liter</t>
  </si>
  <si>
    <t>Spart kWh</t>
  </si>
  <si>
    <t>Varmepris</t>
  </si>
  <si>
    <t xml:space="preserve">Spart kroner </t>
  </si>
  <si>
    <t>pr m² og år</t>
  </si>
  <si>
    <t>Inntjeningstid</t>
  </si>
  <si>
    <t>år</t>
  </si>
  <si>
    <t>Rentefot</t>
  </si>
  <si>
    <t>Realrente</t>
  </si>
  <si>
    <t>Avdragstid,år</t>
  </si>
  <si>
    <t>Investering</t>
  </si>
  <si>
    <t>Annuitet pr m² og år</t>
  </si>
  <si>
    <t>inntjening, kr</t>
  </si>
  <si>
    <t>Netto</t>
  </si>
  <si>
    <t>Inflasjon</t>
  </si>
  <si>
    <t>Energiforbruk i en salatkultur</t>
  </si>
  <si>
    <t>kWh pr m² i året</t>
  </si>
  <si>
    <t>Antatt maksimal mulig sparingi %</t>
  </si>
  <si>
    <t>Maks grense</t>
  </si>
  <si>
    <t>Solgt stk pr m2 og år</t>
  </si>
  <si>
    <t>Pris pr stk</t>
  </si>
  <si>
    <t>Svinn/økt vekst pga mindre lufting</t>
  </si>
  <si>
    <t>Svinn</t>
  </si>
  <si>
    <t>kr pr m2</t>
  </si>
  <si>
    <t>Watt pr m2</t>
  </si>
  <si>
    <t>( 50 grader på tur gir 71 W/m2 i varmeavgivelse)</t>
  </si>
  <si>
    <t>Timer med min rør</t>
  </si>
  <si>
    <t>kWh brukt til luftefyring</t>
  </si>
  <si>
    <t>Pris pr kWh</t>
  </si>
  <si>
    <t>Kostnad</t>
  </si>
  <si>
    <t>kroner for hele avdelingen</t>
  </si>
  <si>
    <t>salater pr m² og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</si>
</sst>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#0"/>
    <numFmt numFmtId="165" formatCode="#,##0_ ;[Red]\-#,##0\ "/>
    <numFmt numFmtId="166" formatCode="0.0\ %"/>
    <numFmt numFmtId="167" formatCode="#,##0.0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9" fontId="3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0" fillId="0" borderId="7" xfId="0" applyBorder="1" applyAlignment="1">
      <alignment horizontal="right"/>
    </xf>
    <xf numFmtId="164" fontId="0" fillId="0" borderId="7" xfId="0" applyNumberFormat="1" applyBorder="1"/>
    <xf numFmtId="165" fontId="0" fillId="0" borderId="0" xfId="1" applyNumberFormat="1" applyFont="1"/>
    <xf numFmtId="0" fontId="3" fillId="0" borderId="0" xfId="0" applyFont="1"/>
    <xf numFmtId="0" fontId="4" fillId="0" borderId="7" xfId="0" applyFont="1" applyBorder="1"/>
    <xf numFmtId="165" fontId="4" fillId="0" borderId="7" xfId="0" applyNumberFormat="1" applyFont="1" applyBorder="1"/>
    <xf numFmtId="0" fontId="4" fillId="0" borderId="0" xfId="0" applyFont="1"/>
    <xf numFmtId="165" fontId="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667988</xdr:colOff>
      <xdr:row>1</xdr:row>
      <xdr:rowOff>185552</xdr:rowOff>
    </xdr:from>
    <xdr:to>
      <xdr:col>11</xdr:col>
      <xdr:colOff>185552</xdr:colOff>
      <xdr:row>9</xdr:row>
      <xdr:rowOff>55666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CDBCB3C-00FA-4D7F-B753-7C22CB3CE10D}"/>
            </a:ext>
          </a:extLst>
        </xdr:cNvPr>
        <xdr:cNvSpPr txBox="1"/>
      </xdr:nvSpPr>
      <xdr:spPr>
        <a:xfrm>
          <a:off x="6475764" y="377289"/>
          <a:ext cx="2560616" cy="1404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4D17C-3936-4354-9622-10C0D37D6E70}">
  <dimension ref="B2:L28"/>
  <sheetViews>
    <sheetView showGridLines="0" showRowColHeaders="0" tabSelected="1" zoomScaleNormal="100" workbookViewId="0">
      <selection activeCell="E30" sqref="E30"/>
    </sheetView>
  </sheetViews>
  <sheetFormatPr baseColWidth="10" defaultColWidth="11.42578125" defaultRowHeight="15" outlineLevelRow="1" x14ac:dyDescent="0.25"/>
  <cols>
    <col min="2" max="2" width="16.85546875" bestFit="1" customWidth="1"/>
    <col min="3" max="3" width="11" bestFit="1" customWidth="1"/>
    <col min="4" max="4" width="13.5703125" bestFit="1" customWidth="1"/>
  </cols>
  <sheetData>
    <row r="2" spans="2:12" x14ac:dyDescent="0.25">
      <c r="B2" t="s">
        <v>0</v>
      </c>
      <c r="C2">
        <v>2500</v>
      </c>
      <c r="D2" t="s">
        <v>1</v>
      </c>
      <c r="F2">
        <v>50</v>
      </c>
      <c r="G2" t="s">
        <v>2</v>
      </c>
    </row>
    <row r="3" spans="2:12" x14ac:dyDescent="0.25">
      <c r="F3">
        <v>12</v>
      </c>
      <c r="G3" t="s">
        <v>3</v>
      </c>
    </row>
    <row r="4" spans="2:12" x14ac:dyDescent="0.25">
      <c r="B4" t="s">
        <v>4</v>
      </c>
      <c r="C4" s="2">
        <f>(MIN(F4,C2*100))</f>
        <v>219000</v>
      </c>
      <c r="D4" t="s">
        <v>5</v>
      </c>
      <c r="F4">
        <f>+F2*F3*365</f>
        <v>219000</v>
      </c>
      <c r="I4" s="6" t="s">
        <v>6</v>
      </c>
      <c r="J4" s="7">
        <v>8</v>
      </c>
      <c r="K4" s="8">
        <f>+J4/12.88</f>
        <v>0.6211180124223602</v>
      </c>
    </row>
    <row r="5" spans="2:12" x14ac:dyDescent="0.25">
      <c r="B5" t="s">
        <v>7</v>
      </c>
      <c r="C5">
        <v>2</v>
      </c>
      <c r="D5" t="s">
        <v>8</v>
      </c>
      <c r="I5" s="9"/>
      <c r="J5">
        <v>7</v>
      </c>
      <c r="K5" s="10">
        <f t="shared" ref="K5:K7" si="0">+J5/12.88</f>
        <v>0.54347826086956519</v>
      </c>
    </row>
    <row r="6" spans="2:12" x14ac:dyDescent="0.25">
      <c r="B6" t="s">
        <v>9</v>
      </c>
      <c r="C6" s="2">
        <f>MIN(C4*C5,D28)</f>
        <v>300000</v>
      </c>
      <c r="D6" s="4" t="str">
        <f>IF(C6=D28,"Max grense nådd!!!","")</f>
        <v>Max grense nådd!!!</v>
      </c>
      <c r="I6" s="9"/>
      <c r="J6">
        <v>6</v>
      </c>
      <c r="K6" s="10">
        <f t="shared" si="0"/>
        <v>0.46583850931677018</v>
      </c>
    </row>
    <row r="7" spans="2:12" x14ac:dyDescent="0.25">
      <c r="C7" s="14">
        <f>C6/D26/C2</f>
        <v>0.4</v>
      </c>
      <c r="I7" s="11"/>
      <c r="J7" s="12">
        <v>5</v>
      </c>
      <c r="K7" s="13">
        <f t="shared" si="0"/>
        <v>0.38819875776397511</v>
      </c>
    </row>
    <row r="8" spans="2:12" x14ac:dyDescent="0.25">
      <c r="B8" t="s">
        <v>10</v>
      </c>
      <c r="C8">
        <v>0.55000000000000004</v>
      </c>
    </row>
    <row r="9" spans="2:12" x14ac:dyDescent="0.25">
      <c r="B9" t="s">
        <v>11</v>
      </c>
      <c r="C9">
        <f>+C6*C8</f>
        <v>165000</v>
      </c>
    </row>
    <row r="10" spans="2:12" x14ac:dyDescent="0.25">
      <c r="B10" t="s">
        <v>11</v>
      </c>
      <c r="C10" s="2">
        <f>+C9/C2</f>
        <v>66</v>
      </c>
      <c r="D10" t="s">
        <v>12</v>
      </c>
    </row>
    <row r="11" spans="2:12" outlineLevel="1" x14ac:dyDescent="0.25">
      <c r="B11" t="s">
        <v>13</v>
      </c>
      <c r="C11" s="16">
        <f>LN((1-(Investering/Årlig_inntjening)*Realrente)^-1)/LN(1+Realrente)</f>
        <v>5.6290713315734546</v>
      </c>
      <c r="D11" t="s">
        <v>14</v>
      </c>
    </row>
    <row r="12" spans="2:12" outlineLevel="1" x14ac:dyDescent="0.25">
      <c r="C12" s="5"/>
    </row>
    <row r="13" spans="2:12" outlineLevel="1" x14ac:dyDescent="0.25">
      <c r="C13" s="5"/>
    </row>
    <row r="14" spans="2:12" outlineLevel="1" x14ac:dyDescent="0.25">
      <c r="C14" t="s">
        <v>15</v>
      </c>
      <c r="D14" s="15">
        <v>0.05</v>
      </c>
      <c r="E14" s="15"/>
      <c r="F14" s="15"/>
      <c r="G14" s="15"/>
      <c r="H14" s="15"/>
      <c r="I14" s="15"/>
      <c r="J14" s="15"/>
      <c r="K14" s="15"/>
      <c r="L14" s="15"/>
    </row>
    <row r="15" spans="2:12" outlineLevel="1" x14ac:dyDescent="0.25">
      <c r="C15" t="s">
        <v>16</v>
      </c>
      <c r="D15" s="15">
        <f>(D14-D25)/(1+D25)</f>
        <v>2.7397260273972605E-2</v>
      </c>
      <c r="E15" s="15">
        <f>+D15</f>
        <v>2.7397260273972605E-2</v>
      </c>
      <c r="F15" s="15">
        <f t="shared" ref="F15:L15" si="1">+E15</f>
        <v>2.7397260273972605E-2</v>
      </c>
      <c r="G15" s="15">
        <f t="shared" si="1"/>
        <v>2.7397260273972605E-2</v>
      </c>
      <c r="H15" s="15">
        <f t="shared" si="1"/>
        <v>2.7397260273972605E-2</v>
      </c>
      <c r="I15" s="15">
        <f t="shared" si="1"/>
        <v>2.7397260273972605E-2</v>
      </c>
      <c r="J15" s="15">
        <f t="shared" si="1"/>
        <v>2.7397260273972605E-2</v>
      </c>
      <c r="K15" s="15">
        <f t="shared" si="1"/>
        <v>2.7397260273972605E-2</v>
      </c>
      <c r="L15" s="15">
        <f t="shared" si="1"/>
        <v>2.7397260273972605E-2</v>
      </c>
    </row>
    <row r="16" spans="2:12" outlineLevel="1" x14ac:dyDescent="0.25">
      <c r="C16" s="17" t="s">
        <v>17</v>
      </c>
      <c r="D16" s="18">
        <v>4</v>
      </c>
      <c r="E16" s="18">
        <f>+D16+1</f>
        <v>5</v>
      </c>
      <c r="F16" s="18">
        <f t="shared" ref="F16:L16" si="2">+E16+1</f>
        <v>6</v>
      </c>
      <c r="G16" s="18">
        <f t="shared" si="2"/>
        <v>7</v>
      </c>
      <c r="H16" s="18">
        <f t="shared" si="2"/>
        <v>8</v>
      </c>
      <c r="I16" s="18">
        <f t="shared" si="2"/>
        <v>9</v>
      </c>
      <c r="J16" s="18">
        <f t="shared" si="2"/>
        <v>10</v>
      </c>
      <c r="K16" s="18">
        <f t="shared" si="2"/>
        <v>11</v>
      </c>
      <c r="L16" s="18">
        <f t="shared" si="2"/>
        <v>12</v>
      </c>
    </row>
    <row r="17" spans="2:12" s="2" customFormat="1" outlineLevel="1" x14ac:dyDescent="0.25">
      <c r="C17" s="2" t="s">
        <v>18</v>
      </c>
      <c r="D17" s="2">
        <v>850000</v>
      </c>
      <c r="E17" s="2">
        <f>+D17</f>
        <v>850000</v>
      </c>
      <c r="F17" s="2">
        <f t="shared" ref="F17:L17" si="3">+E17</f>
        <v>850000</v>
      </c>
      <c r="G17" s="2">
        <f t="shared" si="3"/>
        <v>850000</v>
      </c>
      <c r="H17" s="2">
        <f t="shared" si="3"/>
        <v>850000</v>
      </c>
      <c r="I17" s="2">
        <f t="shared" si="3"/>
        <v>850000</v>
      </c>
      <c r="J17" s="2">
        <f t="shared" si="3"/>
        <v>850000</v>
      </c>
      <c r="K17" s="2">
        <f t="shared" si="3"/>
        <v>850000</v>
      </c>
      <c r="L17" s="2">
        <f t="shared" si="3"/>
        <v>850000</v>
      </c>
    </row>
    <row r="18" spans="2:12" outlineLevel="1" x14ac:dyDescent="0.25">
      <c r="C18" s="3" t="s">
        <v>19</v>
      </c>
      <c r="D18" s="2">
        <f>PMT(D15,D16,D17)/$C$2</f>
        <v>-90.900580881566128</v>
      </c>
      <c r="E18" s="2">
        <f t="shared" ref="E18:L18" si="4">PMT(E15,E16,E17)/$C$2</f>
        <v>-73.689718801838467</v>
      </c>
      <c r="F18" s="2">
        <f t="shared" si="4"/>
        <v>-62.222791625226193</v>
      </c>
      <c r="G18" s="2">
        <f t="shared" si="4"/>
        <v>-54.038108160347605</v>
      </c>
      <c r="H18" s="2">
        <f t="shared" si="4"/>
        <v>-47.904822052365269</v>
      </c>
      <c r="I18" s="2">
        <f t="shared" si="4"/>
        <v>-43.139129098310562</v>
      </c>
      <c r="J18" s="2">
        <f t="shared" si="4"/>
        <v>-39.330746173525384</v>
      </c>
      <c r="K18" s="2">
        <f t="shared" si="4"/>
        <v>-36.218583471235135</v>
      </c>
      <c r="L18" s="2">
        <f t="shared" si="4"/>
        <v>-33.628580622590967</v>
      </c>
    </row>
    <row r="19" spans="2:12" outlineLevel="1" x14ac:dyDescent="0.25">
      <c r="C19" t="s">
        <v>20</v>
      </c>
      <c r="D19" s="2">
        <f>C10</f>
        <v>66</v>
      </c>
      <c r="E19" s="2">
        <f>D19</f>
        <v>66</v>
      </c>
      <c r="F19" s="2">
        <f t="shared" ref="F19:L19" si="5">E19</f>
        <v>66</v>
      </c>
      <c r="G19" s="2">
        <f t="shared" si="5"/>
        <v>66</v>
      </c>
      <c r="H19" s="2">
        <f t="shared" si="5"/>
        <v>66</v>
      </c>
      <c r="I19" s="2">
        <f t="shared" si="5"/>
        <v>66</v>
      </c>
      <c r="J19" s="2">
        <f t="shared" si="5"/>
        <v>66</v>
      </c>
      <c r="K19" s="2">
        <f t="shared" si="5"/>
        <v>66</v>
      </c>
      <c r="L19" s="2">
        <f t="shared" si="5"/>
        <v>66</v>
      </c>
    </row>
    <row r="20" spans="2:12" outlineLevel="1" x14ac:dyDescent="0.25">
      <c r="C20" s="21" t="s">
        <v>21</v>
      </c>
      <c r="D20" s="22">
        <f>+D18+D19</f>
        <v>-24.900580881566128</v>
      </c>
      <c r="E20" s="22">
        <f t="shared" ref="E20:L20" si="6">+E18+E19</f>
        <v>-7.6897188018384668</v>
      </c>
      <c r="F20" s="22">
        <f t="shared" si="6"/>
        <v>3.7772083747738066</v>
      </c>
      <c r="G20" s="22">
        <f t="shared" si="6"/>
        <v>11.961891839652395</v>
      </c>
      <c r="H20" s="22">
        <f t="shared" si="6"/>
        <v>18.095177947634731</v>
      </c>
      <c r="I20" s="22">
        <f t="shared" si="6"/>
        <v>22.860870901689438</v>
      </c>
      <c r="J20" s="22">
        <f t="shared" si="6"/>
        <v>26.669253826474616</v>
      </c>
      <c r="K20" s="22">
        <f t="shared" si="6"/>
        <v>29.781416528764865</v>
      </c>
      <c r="L20" s="22">
        <f t="shared" si="6"/>
        <v>32.371419377409033</v>
      </c>
    </row>
    <row r="21" spans="2:12" outlineLevel="1" x14ac:dyDescent="0.25"/>
    <row r="22" spans="2:12" outlineLevel="1" x14ac:dyDescent="0.25"/>
    <row r="23" spans="2:12" outlineLevel="1" x14ac:dyDescent="0.25"/>
    <row r="24" spans="2:12" outlineLevel="1" x14ac:dyDescent="0.25"/>
    <row r="25" spans="2:12" outlineLevel="1" x14ac:dyDescent="0.25">
      <c r="C25" t="s">
        <v>22</v>
      </c>
      <c r="D25" s="1">
        <v>2.1999999999999999E-2</v>
      </c>
    </row>
    <row r="26" spans="2:12" outlineLevel="1" x14ac:dyDescent="0.25">
      <c r="B26" t="s">
        <v>23</v>
      </c>
      <c r="D26">
        <v>300</v>
      </c>
      <c r="E26" t="s">
        <v>24</v>
      </c>
    </row>
    <row r="27" spans="2:12" outlineLevel="1" x14ac:dyDescent="0.25">
      <c r="C27" s="3" t="s">
        <v>25</v>
      </c>
      <c r="D27" s="1">
        <v>0.4</v>
      </c>
    </row>
    <row r="28" spans="2:12" outlineLevel="1" x14ac:dyDescent="0.25">
      <c r="C28" t="s">
        <v>26</v>
      </c>
      <c r="D28" s="2">
        <f>+D26*D27*C2</f>
        <v>300000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E55FA-F3E9-4487-9364-9A13A6CA0EAB}">
  <dimension ref="B1:L20"/>
  <sheetViews>
    <sheetView showGridLines="0" showRowColHeaders="0" zoomScale="86" zoomScaleNormal="86" workbookViewId="0">
      <selection activeCell="F34" sqref="F34"/>
    </sheetView>
  </sheetViews>
  <sheetFormatPr baseColWidth="10" defaultColWidth="11.42578125" defaultRowHeight="15" x14ac:dyDescent="0.25"/>
  <cols>
    <col min="2" max="2" width="32" bestFit="1" customWidth="1"/>
    <col min="3" max="4" width="8.140625" bestFit="1" customWidth="1"/>
  </cols>
  <sheetData>
    <row r="1" spans="2:12" x14ac:dyDescent="0.25">
      <c r="B1" t="s">
        <v>27</v>
      </c>
      <c r="C1">
        <v>280</v>
      </c>
    </row>
    <row r="2" spans="2:12" x14ac:dyDescent="0.25">
      <c r="B2" t="s">
        <v>28</v>
      </c>
      <c r="C2">
        <v>13</v>
      </c>
    </row>
    <row r="4" spans="2:12" x14ac:dyDescent="0.25">
      <c r="B4" t="s">
        <v>29</v>
      </c>
      <c r="C4" s="1">
        <v>0.02</v>
      </c>
      <c r="E4">
        <f>+C1*C4</f>
        <v>5.6000000000000005</v>
      </c>
      <c r="F4" t="s">
        <v>39</v>
      </c>
    </row>
    <row r="5" spans="2:12" x14ac:dyDescent="0.25">
      <c r="B5" t="s">
        <v>30</v>
      </c>
      <c r="C5">
        <f>+C1*C2*C4*Energi!C2</f>
        <v>182000</v>
      </c>
      <c r="D5" t="s">
        <v>31</v>
      </c>
    </row>
    <row r="7" spans="2:12" x14ac:dyDescent="0.25">
      <c r="B7" t="s">
        <v>13</v>
      </c>
      <c r="C7" s="16">
        <f>LN((1-(Investering/Årlig_inntjening_svinn)*Realrente)^-1)/LN(1+Realrente)</f>
        <v>5.0654865545601497</v>
      </c>
    </row>
    <row r="14" spans="2:12" x14ac:dyDescent="0.25">
      <c r="C14" t="str">
        <f>Energi!C14</f>
        <v>Rentefot</v>
      </c>
      <c r="D14" s="1">
        <f>Energi!D14</f>
        <v>0.05</v>
      </c>
      <c r="E14">
        <f>Energi!E14</f>
        <v>0</v>
      </c>
      <c r="F14">
        <f>Energi!F14</f>
        <v>0</v>
      </c>
      <c r="G14">
        <f>Energi!G14</f>
        <v>0</v>
      </c>
      <c r="H14">
        <f>Energi!H14</f>
        <v>0</v>
      </c>
      <c r="I14">
        <f>Energi!I14</f>
        <v>0</v>
      </c>
      <c r="J14">
        <f>Energi!J14</f>
        <v>0</v>
      </c>
      <c r="K14">
        <f>Energi!K14</f>
        <v>0</v>
      </c>
      <c r="L14">
        <f>Energi!L14</f>
        <v>0</v>
      </c>
    </row>
    <row r="15" spans="2:12" x14ac:dyDescent="0.25">
      <c r="C15" t="str">
        <f>Energi!C15</f>
        <v>Realrente</v>
      </c>
      <c r="D15" s="15">
        <f>Energi!D15</f>
        <v>2.7397260273972605E-2</v>
      </c>
      <c r="E15" s="15">
        <f>Energi!E15</f>
        <v>2.7397260273972605E-2</v>
      </c>
      <c r="F15" s="15">
        <f>Energi!F15</f>
        <v>2.7397260273972605E-2</v>
      </c>
      <c r="G15" s="15">
        <f>Energi!G15</f>
        <v>2.7397260273972605E-2</v>
      </c>
      <c r="H15" s="15">
        <f>Energi!H15</f>
        <v>2.7397260273972605E-2</v>
      </c>
      <c r="I15" s="15">
        <f>Energi!I15</f>
        <v>2.7397260273972605E-2</v>
      </c>
      <c r="J15" s="15">
        <f>Energi!J15</f>
        <v>2.7397260273972605E-2</v>
      </c>
      <c r="K15" s="15">
        <f>Energi!K15</f>
        <v>2.7397260273972605E-2</v>
      </c>
      <c r="L15" s="15">
        <f>Energi!L15</f>
        <v>2.7397260273972605E-2</v>
      </c>
    </row>
    <row r="16" spans="2:12" x14ac:dyDescent="0.25">
      <c r="C16" t="str">
        <f>Energi!C16</f>
        <v>Avdragstid,år</v>
      </c>
      <c r="D16">
        <f>Energi!D16</f>
        <v>4</v>
      </c>
      <c r="E16">
        <f>Energi!E16</f>
        <v>5</v>
      </c>
      <c r="F16">
        <f>Energi!F16</f>
        <v>6</v>
      </c>
      <c r="G16">
        <f>Energi!G16</f>
        <v>7</v>
      </c>
      <c r="H16">
        <f>Energi!H16</f>
        <v>8</v>
      </c>
      <c r="I16">
        <f>Energi!I16</f>
        <v>9</v>
      </c>
      <c r="J16">
        <f>Energi!J16</f>
        <v>10</v>
      </c>
      <c r="K16">
        <f>Energi!K16</f>
        <v>11</v>
      </c>
      <c r="L16">
        <f>Energi!L16</f>
        <v>12</v>
      </c>
    </row>
    <row r="17" spans="3:12" x14ac:dyDescent="0.25">
      <c r="C17" t="str">
        <f>Energi!C17</f>
        <v>Investering</v>
      </c>
      <c r="D17">
        <f>Energi!D17</f>
        <v>850000</v>
      </c>
      <c r="E17">
        <f>Energi!E17</f>
        <v>850000</v>
      </c>
      <c r="F17">
        <f>Energi!F17</f>
        <v>850000</v>
      </c>
      <c r="G17">
        <f>Energi!G17</f>
        <v>850000</v>
      </c>
      <c r="H17">
        <f>Energi!H17</f>
        <v>850000</v>
      </c>
      <c r="I17">
        <f>Energi!I17</f>
        <v>850000</v>
      </c>
      <c r="J17">
        <f>Energi!J17</f>
        <v>850000</v>
      </c>
      <c r="K17">
        <f>Energi!K17</f>
        <v>850000</v>
      </c>
      <c r="L17">
        <f>Energi!L17</f>
        <v>850000</v>
      </c>
    </row>
    <row r="18" spans="3:12" x14ac:dyDescent="0.25">
      <c r="C18" t="str">
        <f>Energi!C18</f>
        <v>Annuitet pr m² og år</v>
      </c>
      <c r="D18" s="19">
        <f>Energi!D18</f>
        <v>-90.900580881566128</v>
      </c>
      <c r="E18" s="19">
        <f>Energi!E18</f>
        <v>-73.689718801838467</v>
      </c>
      <c r="F18" s="19">
        <f>Energi!F18</f>
        <v>-62.222791625226193</v>
      </c>
      <c r="G18" s="19">
        <f>Energi!G18</f>
        <v>-54.038108160347605</v>
      </c>
      <c r="H18" s="19">
        <f>Energi!H18</f>
        <v>-47.904822052365269</v>
      </c>
      <c r="I18" s="19">
        <f>Energi!I18</f>
        <v>-43.139129098310562</v>
      </c>
      <c r="J18" s="19">
        <f>Energi!J18</f>
        <v>-39.330746173525384</v>
      </c>
      <c r="K18" s="19">
        <f>Energi!K18</f>
        <v>-36.218583471235135</v>
      </c>
      <c r="L18" s="19">
        <f>Energi!L18</f>
        <v>-33.628580622590967</v>
      </c>
    </row>
    <row r="19" spans="3:12" x14ac:dyDescent="0.25">
      <c r="C19" t="str">
        <f>Energi!C19</f>
        <v>inntjening, kr</v>
      </c>
      <c r="D19" s="2">
        <f>C5/Energi!C2</f>
        <v>72.8</v>
      </c>
      <c r="E19" s="2">
        <f>D19</f>
        <v>72.8</v>
      </c>
      <c r="F19" s="2">
        <f t="shared" ref="F19:L19" si="0">E19</f>
        <v>72.8</v>
      </c>
      <c r="G19" s="2">
        <f t="shared" si="0"/>
        <v>72.8</v>
      </c>
      <c r="H19" s="2">
        <f t="shared" si="0"/>
        <v>72.8</v>
      </c>
      <c r="I19" s="2">
        <f t="shared" si="0"/>
        <v>72.8</v>
      </c>
      <c r="J19" s="2">
        <f t="shared" si="0"/>
        <v>72.8</v>
      </c>
      <c r="K19" s="2">
        <f t="shared" si="0"/>
        <v>72.8</v>
      </c>
      <c r="L19" s="2">
        <f t="shared" si="0"/>
        <v>72.8</v>
      </c>
    </row>
    <row r="20" spans="3:12" x14ac:dyDescent="0.25">
      <c r="C20" s="23" t="str">
        <f>Energi!C20</f>
        <v>Netto</v>
      </c>
      <c r="D20" s="24">
        <f>D18+D19</f>
        <v>-18.100580881566131</v>
      </c>
      <c r="E20" s="24">
        <f t="shared" ref="E20:L20" si="1">E18+E19</f>
        <v>-0.88971880183846963</v>
      </c>
      <c r="F20" s="24">
        <f t="shared" si="1"/>
        <v>10.577208374773804</v>
      </c>
      <c r="G20" s="24">
        <f t="shared" si="1"/>
        <v>18.761891839652392</v>
      </c>
      <c r="H20" s="24">
        <f t="shared" si="1"/>
        <v>24.895177947634728</v>
      </c>
      <c r="I20" s="24">
        <f t="shared" si="1"/>
        <v>29.660870901689435</v>
      </c>
      <c r="J20" s="24">
        <f t="shared" si="1"/>
        <v>33.469253826474613</v>
      </c>
      <c r="K20" s="24">
        <f t="shared" si="1"/>
        <v>36.581416528764862</v>
      </c>
      <c r="L20" s="24">
        <f t="shared" si="1"/>
        <v>39.17141937740903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A0EA-2E8B-4125-BCF4-922B9BA219D0}">
  <dimension ref="B1:L21"/>
  <sheetViews>
    <sheetView showGridLines="0" showRowColHeaders="0" zoomScale="95" zoomScaleNormal="95" workbookViewId="0">
      <selection activeCell="C6" sqref="C6"/>
    </sheetView>
  </sheetViews>
  <sheetFormatPr baseColWidth="10" defaultColWidth="11.42578125" defaultRowHeight="15" x14ac:dyDescent="0.25"/>
  <cols>
    <col min="2" max="2" width="32" bestFit="1" customWidth="1"/>
    <col min="3" max="3" width="18.85546875" bestFit="1" customWidth="1"/>
  </cols>
  <sheetData>
    <row r="1" spans="2:12" x14ac:dyDescent="0.25">
      <c r="B1" t="s">
        <v>32</v>
      </c>
      <c r="C1">
        <v>40</v>
      </c>
      <c r="E1" s="20" t="s">
        <v>33</v>
      </c>
    </row>
    <row r="2" spans="2:12" x14ac:dyDescent="0.25">
      <c r="B2" t="s">
        <v>34</v>
      </c>
      <c r="C2">
        <v>3000</v>
      </c>
    </row>
    <row r="3" spans="2:12" x14ac:dyDescent="0.25">
      <c r="B3" t="s">
        <v>35</v>
      </c>
      <c r="C3">
        <f>+C1*C2/1000*Energi!C2</f>
        <v>300000</v>
      </c>
    </row>
    <row r="5" spans="2:12" x14ac:dyDescent="0.25">
      <c r="B5" t="s">
        <v>36</v>
      </c>
      <c r="C5" s="5">
        <v>0.5</v>
      </c>
    </row>
    <row r="6" spans="2:12" x14ac:dyDescent="0.25">
      <c r="B6" t="s">
        <v>37</v>
      </c>
      <c r="C6" s="2">
        <f>+C3*C5</f>
        <v>150000</v>
      </c>
      <c r="D6" t="s">
        <v>38</v>
      </c>
    </row>
    <row r="8" spans="2:12" x14ac:dyDescent="0.25">
      <c r="B8" t="s">
        <v>13</v>
      </c>
      <c r="C8" s="16">
        <f>LN((1-(Investering/Årlig_inntjening_svinn)*Realrente)^-1)/LN(1+Realrente)</f>
        <v>6.2421084660297339</v>
      </c>
    </row>
    <row r="15" spans="2:12" x14ac:dyDescent="0.25">
      <c r="C15" t="str">
        <f>Energi!C14</f>
        <v>Rentefot</v>
      </c>
      <c r="D15" s="1">
        <f>Energi!D14</f>
        <v>0.05</v>
      </c>
    </row>
    <row r="16" spans="2:12" x14ac:dyDescent="0.25">
      <c r="C16" t="str">
        <f>Energi!C15</f>
        <v>Realrente</v>
      </c>
      <c r="D16" s="15">
        <f>Energi!D15</f>
        <v>2.7397260273972605E-2</v>
      </c>
      <c r="E16" s="15">
        <f>Energi!E15</f>
        <v>2.7397260273972605E-2</v>
      </c>
      <c r="F16" s="15">
        <f>Energi!F15</f>
        <v>2.7397260273972605E-2</v>
      </c>
      <c r="G16" s="15">
        <f>Energi!G15</f>
        <v>2.7397260273972605E-2</v>
      </c>
      <c r="H16" s="15">
        <f>Energi!H15</f>
        <v>2.7397260273972605E-2</v>
      </c>
      <c r="I16" s="15">
        <f>Energi!I15</f>
        <v>2.7397260273972605E-2</v>
      </c>
      <c r="J16" s="15">
        <f>Energi!J15</f>
        <v>2.7397260273972605E-2</v>
      </c>
      <c r="K16" s="15">
        <f>Energi!K15</f>
        <v>2.7397260273972605E-2</v>
      </c>
      <c r="L16" s="15">
        <f>Energi!L15</f>
        <v>2.7397260273972605E-2</v>
      </c>
    </row>
    <row r="17" spans="3:12" x14ac:dyDescent="0.25">
      <c r="C17" t="str">
        <f>Energi!C16</f>
        <v>Avdragstid,år</v>
      </c>
      <c r="D17">
        <f>Energi!D16</f>
        <v>4</v>
      </c>
      <c r="E17">
        <f>Energi!E16</f>
        <v>5</v>
      </c>
      <c r="F17">
        <f>Energi!F16</f>
        <v>6</v>
      </c>
      <c r="G17">
        <f>Energi!G16</f>
        <v>7</v>
      </c>
      <c r="H17">
        <f>Energi!H16</f>
        <v>8</v>
      </c>
      <c r="I17">
        <f>Energi!I16</f>
        <v>9</v>
      </c>
      <c r="J17">
        <f>Energi!J16</f>
        <v>10</v>
      </c>
      <c r="K17">
        <f>Energi!K16</f>
        <v>11</v>
      </c>
      <c r="L17">
        <f>Energi!L16</f>
        <v>12</v>
      </c>
    </row>
    <row r="18" spans="3:12" x14ac:dyDescent="0.25">
      <c r="C18" t="str">
        <f>Energi!C17</f>
        <v>Investering</v>
      </c>
      <c r="D18">
        <f>Energi!D17</f>
        <v>850000</v>
      </c>
      <c r="E18">
        <f>Energi!E17</f>
        <v>850000</v>
      </c>
      <c r="F18">
        <f>Energi!F17</f>
        <v>850000</v>
      </c>
      <c r="G18">
        <f>Energi!G17</f>
        <v>850000</v>
      </c>
      <c r="H18">
        <f>Energi!H17</f>
        <v>850000</v>
      </c>
      <c r="I18">
        <f>Energi!I17</f>
        <v>850000</v>
      </c>
      <c r="J18">
        <f>Energi!J17</f>
        <v>850000</v>
      </c>
      <c r="K18">
        <f>Energi!K17</f>
        <v>850000</v>
      </c>
      <c r="L18">
        <f>Energi!L17</f>
        <v>850000</v>
      </c>
    </row>
    <row r="19" spans="3:12" x14ac:dyDescent="0.25">
      <c r="C19" t="str">
        <f>Energi!C18</f>
        <v>Annuitet pr m² og år</v>
      </c>
      <c r="D19" s="19">
        <f>Energi!D18</f>
        <v>-90.900580881566128</v>
      </c>
      <c r="E19" s="19">
        <f>Energi!E18</f>
        <v>-73.689718801838467</v>
      </c>
      <c r="F19" s="19">
        <f>Energi!F18</f>
        <v>-62.222791625226193</v>
      </c>
      <c r="G19" s="19">
        <f>Energi!G18</f>
        <v>-54.038108160347605</v>
      </c>
      <c r="H19" s="19">
        <f>Energi!H18</f>
        <v>-47.904822052365269</v>
      </c>
      <c r="I19" s="19">
        <f>Energi!I18</f>
        <v>-43.139129098310562</v>
      </c>
      <c r="J19" s="19">
        <f>Energi!J18</f>
        <v>-39.330746173525384</v>
      </c>
      <c r="K19" s="19">
        <f>Energi!K18</f>
        <v>-36.218583471235135</v>
      </c>
      <c r="L19" s="19">
        <f>Energi!L18</f>
        <v>-33.628580622590967</v>
      </c>
    </row>
    <row r="20" spans="3:12" x14ac:dyDescent="0.25">
      <c r="C20" t="str">
        <f>Energi!C19</f>
        <v>inntjening, kr</v>
      </c>
      <c r="D20" s="2">
        <f>C6/Energi!C2</f>
        <v>60</v>
      </c>
      <c r="E20" s="2">
        <f>D20</f>
        <v>60</v>
      </c>
      <c r="F20" s="2">
        <f t="shared" ref="F20:L20" si="0">E20</f>
        <v>60</v>
      </c>
      <c r="G20" s="2">
        <f t="shared" si="0"/>
        <v>60</v>
      </c>
      <c r="H20" s="2">
        <f t="shared" si="0"/>
        <v>60</v>
      </c>
      <c r="I20" s="2">
        <f t="shared" si="0"/>
        <v>60</v>
      </c>
      <c r="J20" s="2">
        <f t="shared" si="0"/>
        <v>60</v>
      </c>
      <c r="K20" s="2">
        <f t="shared" si="0"/>
        <v>60</v>
      </c>
      <c r="L20" s="2">
        <f t="shared" si="0"/>
        <v>60</v>
      </c>
    </row>
    <row r="21" spans="3:12" x14ac:dyDescent="0.25">
      <c r="C21" t="str">
        <f>Energi!C20</f>
        <v>Netto</v>
      </c>
      <c r="D21" s="2">
        <f>D19+D20</f>
        <v>-30.900580881566128</v>
      </c>
      <c r="E21" s="2">
        <f t="shared" ref="E21:L21" si="1">E19+E20</f>
        <v>-13.689718801838467</v>
      </c>
      <c r="F21" s="2">
        <f t="shared" si="1"/>
        <v>-2.2227916252261934</v>
      </c>
      <c r="G21" s="2">
        <f t="shared" si="1"/>
        <v>5.9618918396523952</v>
      </c>
      <c r="H21" s="2">
        <f t="shared" si="1"/>
        <v>12.095177947634731</v>
      </c>
      <c r="I21" s="2">
        <f t="shared" si="1"/>
        <v>16.860870901689438</v>
      </c>
      <c r="J21" s="2">
        <f t="shared" si="1"/>
        <v>20.669253826474616</v>
      </c>
      <c r="K21" s="2">
        <f t="shared" si="1"/>
        <v>23.781416528764865</v>
      </c>
      <c r="L21" s="2">
        <f t="shared" si="1"/>
        <v>26.371419377409033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11DD-D51B-4C34-BEFA-56A9C9CB209D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2FEAD0D8BC248BC42318F314B7B25" ma:contentTypeVersion="13" ma:contentTypeDescription="Opprett et nytt dokument." ma:contentTypeScope="" ma:versionID="6bb41f54e4f8a0161d272b0131cbc7ff">
  <xsd:schema xmlns:xsd="http://www.w3.org/2001/XMLSchema" xmlns:xs="http://www.w3.org/2001/XMLSchema" xmlns:p="http://schemas.microsoft.com/office/2006/metadata/properties" xmlns:ns2="82bf8dd6-d9ca-491a-bcce-1480da364e21" xmlns:ns3="bb583217-5808-42b6-aeb6-31b9a0fcfac1" targetNamespace="http://schemas.microsoft.com/office/2006/metadata/properties" ma:root="true" ma:fieldsID="cbc3014150f6c5c02370146ee6a7e067" ns2:_="" ns3:_="">
    <xsd:import namespace="82bf8dd6-d9ca-491a-bcce-1480da364e21"/>
    <xsd:import namespace="bb583217-5808-42b6-aeb6-31b9a0fcfa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f8dd6-d9ca-491a-bcce-1480da364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83217-5808-42b6-aeb6-31b9a0fcfac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428C96-9E32-437A-92FD-AE0CAAA6B6BF}"/>
</file>

<file path=customXml/itemProps2.xml><?xml version="1.0" encoding="utf-8"?>
<ds:datastoreItem xmlns:ds="http://schemas.openxmlformats.org/officeDocument/2006/customXml" ds:itemID="{500224CA-B370-4835-A917-85A327597112}"/>
</file>

<file path=customXml/itemProps3.xml><?xml version="1.0" encoding="utf-8"?>
<ds:datastoreItem xmlns:ds="http://schemas.openxmlformats.org/officeDocument/2006/customXml" ds:itemID="{D829C9D7-A937-45BB-8351-122FA765B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5</vt:i4>
      </vt:variant>
    </vt:vector>
  </HeadingPairs>
  <TitlesOfParts>
    <vt:vector size="9" baseType="lpstr">
      <vt:lpstr>Energi</vt:lpstr>
      <vt:lpstr>Svinn</vt:lpstr>
      <vt:lpstr>min rør</vt:lpstr>
      <vt:lpstr>Ark4</vt:lpstr>
      <vt:lpstr>Investering</vt:lpstr>
      <vt:lpstr>Realrente</vt:lpstr>
      <vt:lpstr>Årlig_inntjening</vt:lpstr>
      <vt:lpstr>'min rør'!Årlig_inntjening_svinn</vt:lpstr>
      <vt:lpstr>Årlig_inntjening_svinn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S</dc:creator>
  <cp:keywords/>
  <dc:description/>
  <cp:lastModifiedBy>Anders S</cp:lastModifiedBy>
  <cp:revision/>
  <dcterms:created xsi:type="dcterms:W3CDTF">2021-12-08T14:48:41Z</dcterms:created>
  <dcterms:modified xsi:type="dcterms:W3CDTF">2022-04-22T06:18:42Z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0x01010060B2FEAD0D8BC248BC42318F314B7B25</vt:lpwstr>
  </property>
</Properties>
</file>